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<sst xmlns="http://schemas.openxmlformats.org/spreadsheetml/2006/main" count="122" uniqueCount="119">
  <si>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</si>
  <si>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</si>
  <si>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</si>
  <si>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</si>
  <si>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</si>
  <si>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</si>
  <si>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</si>
  <si>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</si>
  <si>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</si>
  <si>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</si>
  <si>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</si>
  <si>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</si>
  <si>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</si>
  <si>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</si>
  <si>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</si>
  <si>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</si>
  <si>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</si>
  <si>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</si>
  <si>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</si>
  <si>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</si>
  <si>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</si>
  <si>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</si>
  <si>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</si>
  <si>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</si>
  <si>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</si>
  <si>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</si>
  <si>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</si>
  <si>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</si>
  <si>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</si>
  <si>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</si>
  <si>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</si>
  <si>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</si>
  <si>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</si>
  <si>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</si>
  <si>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</si>
  <si>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</si>
  <si>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</si>
  <si>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</si>
  <si>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</si>
  <si>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</si>
  <si>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</si>
  <si>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</si>
  <si>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</si>
  <si>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</si>
  <si>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</si>
  <si>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</si>
  <si>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</si>
  <si>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</si>
  <si>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</si>
  <si>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</si>
  <si>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</si>
  <si>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</si>
  <si>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</si>
  <si>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</si>
  <si>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</si>
  <si>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</si>
  <si>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</si>
  <si>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</si>
  <si>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</si>
  <si>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</si>
  <si>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</si>
  <si>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</si>
  <si>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</si>
  <si>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</si>
  <si>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</si>
  <si>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</si>
  <si>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</si>
  <si>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</si>
  <si>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</si>
  <si>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</si>
  <si>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</si>
  <si>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</si>
  <si>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</si>
  <si>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</si>
  <si>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</si>
  <si>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</si>
  <si>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</si>
  <si>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</si>
  <si>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</si>
  <si>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</si>
  <si>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</si>
  <si>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</si>
  <si>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</si>
  <si>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</si>
  <si>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</si>
  <si>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</si>
  <si>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</si>
  <si>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</si>
  <si>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</si>
  <si>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</si>
  <si>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</si>
  <si>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</si>
  <si>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</si>
  <si>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</si>
  <si>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</si>
  <si>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</si>
  <si>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</si>
  <si>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</si>
  <si>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</si>
  <si>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</si>
  <si>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</si>
  <si>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</si>
  <si>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</si>
  <si>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</si>
  <si>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</si>
  <si>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</si>
  <si>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</si>
  <si>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</si>
  <si>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</si>
  <si>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</si>
  <si>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</si>
  <si>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</si>
  <si>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</si>
  <si>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</si>
  <si>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</si>
  <si>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</si>
  <si>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</si>
  <si>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</si>
  <si>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Профінансовано станом на 10.10.16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</si>
</sst>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view="pageBreakPreview" zoomScale="50" zoomScaleNormal="70" zoomScaleSheetLayoutView="5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118</v>
      </c>
      <c r="I4" s="84" t="s">
        <v>41</v>
      </c>
      <c r="J4" s="84" t="s">
        <v>115</v>
      </c>
      <c r="K4" s="89" t="s">
        <v>116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4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119995949.72</v>
      </c>
      <c r="I8" s="70">
        <f>H8/D8*100</f>
        <v>77.13410851204024</v>
      </c>
      <c r="J8" s="70">
        <f>H8/(L8+M8+N8+O8+P8+Q8+R8+U8+N25+O25+P25+Q25+R25+S8+S25+T8+T25+U25)*100</f>
        <v>84.37321342347505</v>
      </c>
      <c r="K8" s="63">
        <f>K9+K17</f>
        <v>6523373.37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29979090.560000002</v>
      </c>
      <c r="I9" s="45">
        <f>H9/D9*100</f>
        <v>72.98791499388521</v>
      </c>
      <c r="J9" s="45">
        <f>H9/(L9+M9+N9+O9+P9+Q9+R9+S9+U9+T9+M17+N17+O17+P17+Q17+R17+S17+T17+U17)*100</f>
        <v>82.12895057574818</v>
      </c>
      <c r="K9" s="23">
        <f>L9+M9+N9+O9+P9+Q9+R9+S9+T9+U9+-H10-H11-H12-H13-H14-H15-H16</f>
        <v>3821613.4899999993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78.03663603213494</v>
      </c>
      <c r="J10" s="92">
        <f>(H10+H11+H12+H13+H14+H15+H16)/(L9+M9+N9+O9+P9+Q9+R9+S9+T9+U9)*100</f>
        <v>84.42575805181932</v>
      </c>
      <c r="K10" s="51">
        <f>E10-H10</f>
        <v>3854790.009999998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93"/>
      <c r="K12" s="51">
        <f t="shared" si="2"/>
        <v>120528.20999999996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aca="true" t="shared" si="3" ref="I13:I24">H13/D13*100</f>
        <v>46.78753571428572</v>
      </c>
      <c r="J13" s="93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</f>
        <v>1713900.28</v>
      </c>
      <c r="I15" s="46">
        <f t="shared" si="3"/>
        <v>81.3432409027028</v>
      </c>
      <c r="J15" s="93"/>
      <c r="K15" s="51">
        <f t="shared" si="2"/>
        <v>393097.50000000023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4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9262665.52</v>
      </c>
      <c r="I17" s="46">
        <f t="shared" si="3"/>
        <v>75.88803198505616</v>
      </c>
      <c r="J17" s="92">
        <f>H17/(L17+M17+N17+O17+P17+Q17+R17+S17+T17+U17)*100</f>
        <v>77.41839002147148</v>
      </c>
      <c r="K17" s="71">
        <f>L17+M17+N17+O17+P17+Q17+R17+S17+T17+U17-H17</f>
        <v>2701759.880000001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</f>
        <v>4027321.1300000004</v>
      </c>
      <c r="I18" s="47">
        <f>H18/D18*100</f>
        <v>89.2283400908386</v>
      </c>
      <c r="J18" s="93"/>
      <c r="K18" s="79">
        <f>D18-H18</f>
        <v>486178.86999999965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</f>
        <v>3695405.2499999995</v>
      </c>
      <c r="I19" s="47">
        <f>H19/D19*100</f>
        <v>69.36341410766573</v>
      </c>
      <c r="J19" s="93"/>
      <c r="K19" s="79">
        <f aca="true" t="shared" si="5" ref="K19:K24">D19-H19</f>
        <v>1632194.7500000005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</f>
        <v>301636.09</v>
      </c>
      <c r="I20" s="47"/>
      <c r="J20" s="93"/>
      <c r="K20" s="79">
        <f t="shared" si="5"/>
        <v>298663.91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</f>
        <v>969711.7300000001</v>
      </c>
      <c r="I21" s="47">
        <f t="shared" si="3"/>
        <v>94.22910601496454</v>
      </c>
      <c r="J21" s="93"/>
      <c r="K21" s="79">
        <f t="shared" si="5"/>
        <v>59388.2699999999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4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90016859.16</v>
      </c>
      <c r="I25" s="45">
        <f>H25/D25*100</f>
        <v>78.62153226593533</v>
      </c>
      <c r="J25" s="68">
        <f>H25/(L25+M25+N25+O25+P25+Q25+R25+S25+T25+U25)*100</f>
        <v>85.14811596971936</v>
      </c>
      <c r="K25" s="52">
        <f>L25+M25+N25+O25+P25+Q25+R25+S25+T25+T25+U25-H25</f>
        <v>33774928.46000001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6641128.32</v>
      </c>
      <c r="V25" s="62">
        <f t="shared" si="6"/>
        <v>4027592.43</v>
      </c>
      <c r="W25" s="62">
        <f t="shared" si="6"/>
        <v>4748339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89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5"/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</f>
        <v>182000</v>
      </c>
      <c r="I30" s="46">
        <f t="shared" si="13"/>
        <v>45.27363184079602</v>
      </c>
      <c r="J30" s="67">
        <f t="shared" si="14"/>
        <v>45.27363184079602</v>
      </c>
      <c r="K30" s="52">
        <f t="shared" si="9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</f>
        <v>26085186</v>
      </c>
      <c r="I36" s="46">
        <f t="shared" si="13"/>
        <v>88.12562837837838</v>
      </c>
      <c r="J36" s="67">
        <f t="shared" si="14"/>
        <v>88.53952201802801</v>
      </c>
      <c r="K36" s="52">
        <f t="shared" si="9"/>
        <v>14476443.57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</f>
        <v>36594446.370000005</v>
      </c>
      <c r="I38" s="46">
        <f t="shared" si="13"/>
        <v>74.26786067597217</v>
      </c>
      <c r="J38" s="67">
        <f t="shared" si="14"/>
        <v>86.6340528813192</v>
      </c>
      <c r="K38" s="52">
        <f t="shared" si="9"/>
        <v>10215867.379999995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</f>
        <v>2320159.75</v>
      </c>
      <c r="V38" s="43">
        <f>130000-130000+1000000+1535000+1.25+250000</f>
        <v>2785001.25</v>
      </c>
      <c r="W38" s="43">
        <f>3000000+1000000+248339</f>
        <v>4248339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4"/>
        <v>71.965013322884</v>
      </c>
      <c r="K40" s="52">
        <f t="shared" si="9"/>
        <v>2168632.1500000004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7">
        <f t="shared" si="14"/>
        <v>69.11032444005735</v>
      </c>
      <c r="K43" s="52">
        <f t="shared" si="9"/>
        <v>2341566.9700000007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58850674.45000001</v>
      </c>
      <c r="I47" s="64">
        <f>H47/D47*100</f>
        <v>51.250925704337845</v>
      </c>
      <c r="J47" s="64">
        <f>H48/(L48+M48+N48+O48+P48+Q48+R48+S48+T48+U48)*100</f>
        <v>57.8418449243661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SUM(D49:D97)</f>
        <v>114828510.2</v>
      </c>
      <c r="E48" s="30"/>
      <c r="F48" s="30">
        <f>SUM(F49:F97)</f>
        <v>114828510.2</v>
      </c>
      <c r="G48" s="30">
        <f>SUM(G49:G97)</f>
        <v>114828510.2</v>
      </c>
      <c r="H48" s="30">
        <f>SUM(H49:H97)</f>
        <v>58850674.45000001</v>
      </c>
      <c r="I48" s="48">
        <f>H48/D48*100</f>
        <v>51.250925704337845</v>
      </c>
      <c r="J48" s="68">
        <f>H48/(L48+M48+N48+O48+P48+Q48+R48+S48+T48+U48)*100</f>
        <v>57.8418449243661</v>
      </c>
      <c r="K48" s="52">
        <f t="shared" si="9"/>
        <v>62091825.289999984</v>
      </c>
      <c r="L48" s="61">
        <f>SUM(L49:L97)</f>
        <v>0</v>
      </c>
      <c r="M48" s="61">
        <f aca="true" t="shared" si="15" ref="M48:W48">SUM(M49:M97)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SUM(T49:T97)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SUM(X49:X97)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6">F49</f>
        <v>768000</v>
      </c>
      <c r="E49" s="30"/>
      <c r="F49" s="25">
        <f aca="true" t="shared" si="17" ref="F49:F97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0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7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7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1100000</v>
      </c>
      <c r="E54" s="30"/>
      <c r="F54" s="25">
        <f t="shared" si="17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7">
        <f t="shared" si="19"/>
        <v>71.16626915887852</v>
      </c>
      <c r="K54" s="52">
        <f t="shared" si="9"/>
        <v>323523.77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20"/>
        <v>1100000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5" t="s">
        <v>78</v>
      </c>
      <c r="D66" s="32">
        <f t="shared" si="16"/>
        <v>12760000</v>
      </c>
      <c r="E66" s="30"/>
      <c r="F66" s="25">
        <f t="shared" si="17"/>
        <v>12760000</v>
      </c>
      <c r="G66" s="32">
        <f>300000+5000000+7460000</f>
        <v>12760000</v>
      </c>
      <c r="H66" s="25">
        <f>300000+3000000+156232</f>
        <v>3456232</v>
      </c>
      <c r="I66" s="46">
        <f>H66/D66*100</f>
        <v>27.086457680250785</v>
      </c>
      <c r="J66" s="67">
        <f t="shared" si="19"/>
        <v>27.086457680250785</v>
      </c>
      <c r="K66" s="52">
        <f t="shared" si="9"/>
        <v>15833768</v>
      </c>
      <c r="L66" s="59"/>
      <c r="M66" s="59"/>
      <c r="N66" s="59">
        <v>100000</v>
      </c>
      <c r="O66" s="59"/>
      <c r="P66" s="59">
        <f>200000-300000</f>
        <v>-100000</v>
      </c>
      <c r="Q66" s="59"/>
      <c r="R66" s="59">
        <f>300000</f>
        <v>300000</v>
      </c>
      <c r="S66" s="59"/>
      <c r="T66" s="60">
        <f>2800000+3730000</f>
        <v>6530000</v>
      </c>
      <c r="U66" s="60">
        <f>2200000+3730000</f>
        <v>5930000</v>
      </c>
      <c r="V66" s="59"/>
      <c r="W66" s="59">
        <f>300000-300000</f>
        <v>0</v>
      </c>
      <c r="X66" s="59">
        <f t="shared" si="20"/>
        <v>12760000</v>
      </c>
      <c r="Y66" s="69">
        <f t="shared" si="18"/>
        <v>0</v>
      </c>
    </row>
    <row r="67" spans="1:25" s="77" customFormat="1" ht="24.75" customHeight="1">
      <c r="A67" s="1"/>
      <c r="B67" s="29"/>
      <c r="C67" s="57" t="s">
        <v>79</v>
      </c>
      <c r="D67" s="32">
        <f t="shared" si="16"/>
        <v>350000</v>
      </c>
      <c r="E67" s="30"/>
      <c r="F67" s="25">
        <f t="shared" si="17"/>
        <v>350000</v>
      </c>
      <c r="G67" s="32">
        <v>350000</v>
      </c>
      <c r="H67" s="25">
        <f>105000</f>
        <v>105000</v>
      </c>
      <c r="I67" s="46">
        <f>H67/D67*100</f>
        <v>30</v>
      </c>
      <c r="J67" s="67">
        <f t="shared" si="19"/>
        <v>30</v>
      </c>
      <c r="K67" s="52">
        <f t="shared" si="9"/>
        <v>245000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/>
      <c r="W67" s="59">
        <f>50000-50000</f>
        <v>0</v>
      </c>
      <c r="X67" s="59">
        <f t="shared" si="20"/>
        <v>350000</v>
      </c>
      <c r="Y67" s="69">
        <f t="shared" si="18"/>
        <v>0</v>
      </c>
    </row>
    <row r="68" spans="1:25" s="77" customFormat="1" ht="24.75" customHeight="1">
      <c r="A68" s="1"/>
      <c r="B68" s="29"/>
      <c r="C68" s="56" t="s">
        <v>80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9"/>
        <v>39.482256016108764</v>
      </c>
      <c r="K68" s="52">
        <f t="shared" si="9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8"/>
        <v>0</v>
      </c>
    </row>
    <row r="69" spans="1:25" s="77" customFormat="1" ht="26.25" customHeight="1">
      <c r="A69" s="1"/>
      <c r="B69" s="29"/>
      <c r="C69" s="58" t="s">
        <v>81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/>
      <c r="I69" s="46"/>
      <c r="J69" s="67">
        <f t="shared" si="19"/>
        <v>0</v>
      </c>
      <c r="K69" s="52">
        <f t="shared" si="9"/>
        <v>375000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82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9"/>
        <v>0</v>
      </c>
      <c r="K70" s="52">
        <f t="shared" si="9"/>
        <v>135000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98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/>
      <c r="K71" s="52">
        <f t="shared" si="9"/>
        <v>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6" t="s">
        <v>83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9"/>
        <v>0</v>
      </c>
      <c r="K72" s="52">
        <f t="shared" si="9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8"/>
        <v>0</v>
      </c>
    </row>
    <row r="73" spans="1:25" s="77" customFormat="1" ht="24.7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</f>
        <v>7086182.05</v>
      </c>
      <c r="I73" s="25">
        <f>H73/D73*100</f>
        <v>36.26500537359263</v>
      </c>
      <c r="J73" s="67">
        <f t="shared" si="19"/>
        <v>47.09621368697981</v>
      </c>
      <c r="K73" s="52">
        <f t="shared" si="9"/>
        <v>10480000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1.75" customHeight="1">
      <c r="A74" s="1"/>
      <c r="B74" s="29"/>
      <c r="C74" s="55" t="s">
        <v>85</v>
      </c>
      <c r="D74" s="32">
        <f t="shared" si="16"/>
        <v>3050000</v>
      </c>
      <c r="E74" s="30"/>
      <c r="F74" s="25">
        <f t="shared" si="17"/>
        <v>3050000</v>
      </c>
      <c r="G74" s="32">
        <f>3043000+7000</f>
        <v>3050000</v>
      </c>
      <c r="H74" s="25">
        <f>275933.34+29437.7+941917.2+15430.54+158281.2+54884.4+2515.78+901.08</f>
        <v>1479301.24</v>
      </c>
      <c r="I74" s="46">
        <f>H74/D74*100</f>
        <v>48.50168</v>
      </c>
      <c r="J74" s="67">
        <f t="shared" si="19"/>
        <v>62.61171163506879</v>
      </c>
      <c r="K74" s="52">
        <f t="shared" si="9"/>
        <v>1304207.76</v>
      </c>
      <c r="L74" s="59"/>
      <c r="M74" s="59"/>
      <c r="N74" s="59">
        <v>754000</v>
      </c>
      <c r="O74" s="59">
        <v>7000</v>
      </c>
      <c r="P74" s="59">
        <v>764000</v>
      </c>
      <c r="Q74" s="59">
        <f>1255000-838191</f>
        <v>416809</v>
      </c>
      <c r="R74" s="59"/>
      <c r="S74" s="59"/>
      <c r="T74" s="60">
        <f>270000+150850</f>
        <v>420850</v>
      </c>
      <c r="U74" s="59"/>
      <c r="V74" s="59">
        <f>687341</f>
        <v>687341</v>
      </c>
      <c r="W74" s="59"/>
      <c r="X74" s="59">
        <f t="shared" si="20"/>
        <v>3050000</v>
      </c>
      <c r="Y74" s="69">
        <f t="shared" si="18"/>
        <v>0</v>
      </c>
    </row>
    <row r="75" spans="1:25" s="77" customFormat="1" ht="18.75" customHeight="1">
      <c r="A75" s="1"/>
      <c r="B75" s="29"/>
      <c r="C75" s="55" t="s">
        <v>86</v>
      </c>
      <c r="D75" s="32">
        <f t="shared" si="16"/>
        <v>3926191</v>
      </c>
      <c r="E75" s="30"/>
      <c r="F75" s="25">
        <f t="shared" si="17"/>
        <v>3926191</v>
      </c>
      <c r="G75" s="32">
        <f>6648900-7000+1500000-5115600-88109+988000</f>
        <v>3926191</v>
      </c>
      <c r="H75" s="25">
        <f>1453283.2+635176.8+818106.4+14056.21+491000+10144+7457.9</f>
        <v>3429224.51</v>
      </c>
      <c r="I75" s="46">
        <f>H75/D75*100</f>
        <v>87.34227422965412</v>
      </c>
      <c r="J75" s="67">
        <f t="shared" si="19"/>
        <v>91.53896611251268</v>
      </c>
      <c r="K75" s="52">
        <f t="shared" si="9"/>
        <v>112966.49000000022</v>
      </c>
      <c r="L75" s="59"/>
      <c r="M75" s="59"/>
      <c r="N75" s="59">
        <v>7000</v>
      </c>
      <c r="O75" s="59">
        <v>-7000</v>
      </c>
      <c r="P75" s="59"/>
      <c r="Q75" s="59">
        <f>3315950+2000000-3315950+100000+838191</f>
        <v>2938191</v>
      </c>
      <c r="R75" s="59"/>
      <c r="S75" s="59">
        <f>988000</f>
        <v>988000</v>
      </c>
      <c r="T75" s="60">
        <f>1000000-749150-100000-150850-180000-24000</f>
        <v>-204000</v>
      </c>
      <c r="U75" s="59">
        <f>1000000-1000000+24000</f>
        <v>24000</v>
      </c>
      <c r="V75" s="59">
        <f>1325950+1000000-1000000-550500-88109-687341+180000</f>
        <v>180000</v>
      </c>
      <c r="W75" s="59">
        <f>500000-500000</f>
        <v>0</v>
      </c>
      <c r="X75" s="59">
        <f t="shared" si="20"/>
        <v>3926191</v>
      </c>
      <c r="Y75" s="69">
        <f t="shared" si="18"/>
        <v>0</v>
      </c>
    </row>
    <row r="76" spans="1:25" s="77" customFormat="1" ht="18.75" customHeight="1">
      <c r="A76" s="1"/>
      <c r="B76" s="29"/>
      <c r="C76" s="31" t="s">
        <v>32</v>
      </c>
      <c r="D76" s="32">
        <f t="shared" si="16"/>
        <v>2519000</v>
      </c>
      <c r="E76" s="30"/>
      <c r="F76" s="25">
        <f t="shared" si="17"/>
        <v>2519000</v>
      </c>
      <c r="G76" s="32">
        <v>2519000</v>
      </c>
      <c r="H76" s="25">
        <f>595483.2+6729.38+480496.81+1110192.46</f>
        <v>2192901.8499999996</v>
      </c>
      <c r="I76" s="46">
        <f>H76/D76*100</f>
        <v>87.05446010321555</v>
      </c>
      <c r="J76" s="67">
        <f t="shared" si="19"/>
        <v>87.05446010321555</v>
      </c>
      <c r="K76" s="52">
        <f t="shared" si="9"/>
        <v>326098.1500000004</v>
      </c>
      <c r="L76" s="59"/>
      <c r="M76" s="59">
        <v>300000</v>
      </c>
      <c r="N76" s="59">
        <v>330000</v>
      </c>
      <c r="O76" s="59"/>
      <c r="P76" s="59">
        <f>370000+105000</f>
        <v>475000</v>
      </c>
      <c r="Q76" s="59">
        <f>1519000-105000</f>
        <v>1414000</v>
      </c>
      <c r="R76" s="59"/>
      <c r="S76" s="59"/>
      <c r="T76" s="60"/>
      <c r="U76" s="59"/>
      <c r="V76" s="59"/>
      <c r="W76" s="59"/>
      <c r="X76" s="59">
        <f t="shared" si="20"/>
        <v>2519000</v>
      </c>
      <c r="Y76" s="69">
        <f t="shared" si="18"/>
        <v>0</v>
      </c>
    </row>
    <row r="77" spans="1:25" s="77" customFormat="1" ht="19.5" customHeight="1">
      <c r="A77" s="1"/>
      <c r="B77" s="29"/>
      <c r="C77" s="31" t="s">
        <v>33</v>
      </c>
      <c r="D77" s="32">
        <f t="shared" si="16"/>
        <v>4000000</v>
      </c>
      <c r="E77" s="30"/>
      <c r="F77" s="25">
        <f t="shared" si="17"/>
        <v>4000000</v>
      </c>
      <c r="G77" s="32">
        <f>125000+3875000</f>
        <v>4000000</v>
      </c>
      <c r="H77" s="25">
        <f>40071.36+84500+1140000</f>
        <v>1264571.36</v>
      </c>
      <c r="I77" s="46">
        <f>H77/D77*100</f>
        <v>31.614284000000005</v>
      </c>
      <c r="J77" s="67">
        <f t="shared" si="19"/>
        <v>41.461356065573774</v>
      </c>
      <c r="K77" s="52">
        <f t="shared" si="9"/>
        <v>1785428.64</v>
      </c>
      <c r="L77" s="59"/>
      <c r="M77" s="59"/>
      <c r="N77" s="59">
        <v>125000</v>
      </c>
      <c r="O77" s="59">
        <v>75000</v>
      </c>
      <c r="P77" s="59"/>
      <c r="Q77" s="59"/>
      <c r="R77" s="59">
        <v>1900000</v>
      </c>
      <c r="S77" s="59"/>
      <c r="T77" s="60"/>
      <c r="U77" s="59">
        <v>950000</v>
      </c>
      <c r="V77" s="59">
        <v>950000</v>
      </c>
      <c r="W77" s="59"/>
      <c r="X77" s="59">
        <f t="shared" si="20"/>
        <v>4000000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106</v>
      </c>
      <c r="D78" s="32">
        <f>F78</f>
        <v>100000</v>
      </c>
      <c r="E78" s="30"/>
      <c r="F78" s="25">
        <f>G78</f>
        <v>100000</v>
      </c>
      <c r="G78" s="32">
        <v>100000</v>
      </c>
      <c r="H78" s="25"/>
      <c r="I78" s="46"/>
      <c r="J78" s="67">
        <f t="shared" si="19"/>
        <v>0</v>
      </c>
      <c r="K78" s="52">
        <f t="shared" si="9"/>
        <v>100000</v>
      </c>
      <c r="L78" s="59"/>
      <c r="M78" s="59"/>
      <c r="N78" s="59"/>
      <c r="O78" s="59"/>
      <c r="P78" s="59"/>
      <c r="Q78" s="59">
        <v>100000</v>
      </c>
      <c r="R78" s="59"/>
      <c r="S78" s="59"/>
      <c r="T78" s="60"/>
      <c r="U78" s="59"/>
      <c r="V78" s="59"/>
      <c r="W78" s="59"/>
      <c r="X78" s="59">
        <f t="shared" si="20"/>
        <v>100000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111</v>
      </c>
      <c r="D79" s="32">
        <f>F79</f>
        <v>500000</v>
      </c>
      <c r="E79" s="30"/>
      <c r="F79" s="25">
        <f>G79</f>
        <v>500000</v>
      </c>
      <c r="G79" s="32">
        <v>500000</v>
      </c>
      <c r="H79" s="25"/>
      <c r="I79" s="46"/>
      <c r="J79" s="67">
        <f t="shared" si="19"/>
        <v>0</v>
      </c>
      <c r="K79" s="52">
        <f t="shared" si="9"/>
        <v>300000</v>
      </c>
      <c r="L79" s="59"/>
      <c r="M79" s="59"/>
      <c r="N79" s="59"/>
      <c r="O79" s="59"/>
      <c r="P79" s="59"/>
      <c r="Q79" s="59"/>
      <c r="R79" s="59"/>
      <c r="S79" s="59"/>
      <c r="T79" s="60">
        <f>150000</f>
        <v>150000</v>
      </c>
      <c r="U79" s="59"/>
      <c r="V79" s="59"/>
      <c r="W79" s="59">
        <f>350000</f>
        <v>350000</v>
      </c>
      <c r="X79" s="59">
        <f t="shared" si="20"/>
        <v>500000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112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/>
      <c r="I80" s="46"/>
      <c r="J80" s="67">
        <f t="shared" si="19"/>
        <v>0</v>
      </c>
      <c r="K80" s="52">
        <f t="shared" si="9"/>
        <v>160000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8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9"/>
        <v>0</v>
      </c>
      <c r="K81" s="52">
        <f t="shared" si="9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8"/>
        <v>0</v>
      </c>
    </row>
    <row r="82" spans="1:25" s="77" customFormat="1" ht="42" customHeight="1">
      <c r="A82" s="1"/>
      <c r="B82" s="29"/>
      <c r="C82" s="55" t="s">
        <v>117</v>
      </c>
      <c r="D82" s="32">
        <f t="shared" si="16"/>
        <v>18707000</v>
      </c>
      <c r="E82" s="30"/>
      <c r="F82" s="25">
        <f t="shared" si="17"/>
        <v>18707000</v>
      </c>
      <c r="G82" s="32">
        <f>3000000+8600000+1000000+6107000</f>
        <v>18707000</v>
      </c>
      <c r="H82" s="25">
        <f>1400000+4300000+1082142+1437858+23357.42+1714649.98+3000000+31555.91</f>
        <v>12989563.31</v>
      </c>
      <c r="I82" s="46">
        <f>H82/D82*100</f>
        <v>69.43691297375314</v>
      </c>
      <c r="J82" s="67">
        <f t="shared" si="19"/>
        <v>73.69128785386056</v>
      </c>
      <c r="K82" s="52">
        <f t="shared" si="9"/>
        <v>11514936.69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f>1000000</f>
        <v>1000000</v>
      </c>
      <c r="W82" s="60">
        <v>80000</v>
      </c>
      <c r="X82" s="59">
        <f t="shared" si="20"/>
        <v>18707000</v>
      </c>
      <c r="Y82" s="69">
        <f t="shared" si="18"/>
        <v>0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9"/>
        <v>82.10184325215685</v>
      </c>
      <c r="K83" s="52">
        <f t="shared" si="9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8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9"/>
        <v>44.439665354330714</v>
      </c>
      <c r="K84" s="52">
        <f t="shared" si="9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87</v>
      </c>
      <c r="D85" s="32">
        <f t="shared" si="16"/>
        <v>22050000</v>
      </c>
      <c r="E85" s="30"/>
      <c r="F85" s="25">
        <f t="shared" si="17"/>
        <v>22050000</v>
      </c>
      <c r="G85" s="32">
        <f>16000000+4000000+2050000</f>
        <v>22050000</v>
      </c>
      <c r="H85" s="25">
        <f>13429+7850000+306023.62+885285.6+1757858.8+137329.67+2000000+3430424.4+44980.76+1526696.4+20069.81+1128035.73+685593.6+10647.49+148666.8+4855.48+1000000</f>
        <v>20949897.16</v>
      </c>
      <c r="I85" s="46">
        <f>H85/D85*100</f>
        <v>95.0108714739229</v>
      </c>
      <c r="J85" s="67">
        <f t="shared" si="19"/>
        <v>95.0108714739229</v>
      </c>
      <c r="K85" s="52">
        <f t="shared" si="9"/>
        <v>2125102.84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0</v>
      </c>
      <c r="W85" s="60">
        <v>0</v>
      </c>
      <c r="X85" s="59">
        <f t="shared" si="20"/>
        <v>22050000</v>
      </c>
      <c r="Y85" s="69">
        <f t="shared" si="18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9"/>
        <v>0</v>
      </c>
      <c r="K86" s="52">
        <f t="shared" si="9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8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/>
      <c r="I87" s="46"/>
      <c r="J87" s="67">
        <f t="shared" si="19"/>
        <v>0</v>
      </c>
      <c r="K87" s="52">
        <f t="shared" si="9"/>
        <v>600000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8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/>
      <c r="I88" s="46"/>
      <c r="J88" s="67">
        <f t="shared" si="19"/>
        <v>0</v>
      </c>
      <c r="K88" s="52">
        <f t="shared" si="9"/>
        <v>91000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8"/>
        <v>0</v>
      </c>
    </row>
    <row r="89" spans="1:25" s="77" customFormat="1" ht="40.5" customHeight="1">
      <c r="A89" s="1"/>
      <c r="B89" s="29"/>
      <c r="C89" s="55" t="s">
        <v>88</v>
      </c>
      <c r="D89" s="32">
        <f aca="true" t="shared" si="21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/>
      <c r="I89" s="46"/>
      <c r="J89" s="67">
        <f t="shared" si="19"/>
        <v>0</v>
      </c>
      <c r="K89" s="52">
        <f t="shared" si="9"/>
        <v>7535024.720000001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89</v>
      </c>
      <c r="D90" s="32">
        <f t="shared" si="21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</f>
        <v>575193.63</v>
      </c>
      <c r="I90" s="46">
        <f>H90/D90*100</f>
        <v>16.044005188139803</v>
      </c>
      <c r="J90" s="67">
        <f t="shared" si="19"/>
        <v>16.047350508591006</v>
      </c>
      <c r="K90" s="52">
        <f aca="true" t="shared" si="22" ref="K90:K98">L90+M90+N90+O90+P90+Q90+R90+S90+T90+T90+U90-H90</f>
        <v>5078309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v>900000</v>
      </c>
      <c r="V90" s="59"/>
      <c r="W90" s="59">
        <f>747.37</f>
        <v>747.37</v>
      </c>
      <c r="X90" s="59">
        <f t="shared" si="20"/>
        <v>3585100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90</v>
      </c>
      <c r="D91" s="32">
        <f t="shared" si="21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>H91/D91*100</f>
        <v>99.711</v>
      </c>
      <c r="J91" s="67">
        <f t="shared" si="19"/>
        <v>99.711</v>
      </c>
      <c r="K91" s="52">
        <f t="shared" si="22"/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91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>H92/D92*100</f>
        <v>36.632333333333335</v>
      </c>
      <c r="J92" s="67">
        <f t="shared" si="19"/>
        <v>36.632333333333335</v>
      </c>
      <c r="K92" s="52">
        <f t="shared" si="22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92</v>
      </c>
      <c r="D93" s="32">
        <f t="shared" si="21"/>
        <v>538000</v>
      </c>
      <c r="E93" s="6"/>
      <c r="F93" s="25">
        <f t="shared" si="17"/>
        <v>538000</v>
      </c>
      <c r="G93" s="32">
        <v>538000</v>
      </c>
      <c r="H93" s="25">
        <f>139785.59+164838.36+4545.63</f>
        <v>309169.57999999996</v>
      </c>
      <c r="I93" s="46">
        <f>H93/D93*100</f>
        <v>57.46646468401486</v>
      </c>
      <c r="J93" s="67">
        <f t="shared" si="19"/>
        <v>90.9322294117647</v>
      </c>
      <c r="K93" s="52">
        <f t="shared" si="22"/>
        <v>210830.42000000004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/>
      <c r="V93" s="59">
        <f>378000-180000</f>
        <v>198000</v>
      </c>
      <c r="W93" s="59"/>
      <c r="X93" s="59">
        <f t="shared" si="20"/>
        <v>538000</v>
      </c>
      <c r="Y93" s="69">
        <f t="shared" si="18"/>
        <v>0</v>
      </c>
    </row>
    <row r="94" spans="1:25" s="77" customFormat="1" ht="21" customHeight="1">
      <c r="A94" s="1"/>
      <c r="B94" s="29"/>
      <c r="C94" s="55" t="s">
        <v>93</v>
      </c>
      <c r="D94" s="32">
        <f t="shared" si="21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9"/>
        <v>0</v>
      </c>
      <c r="K94" s="52">
        <f t="shared" si="22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8"/>
        <v>0</v>
      </c>
    </row>
    <row r="95" spans="1:25" s="77" customFormat="1" ht="26.25" customHeight="1">
      <c r="A95" s="1"/>
      <c r="B95" s="29"/>
      <c r="C95" s="55" t="s">
        <v>94</v>
      </c>
      <c r="D95" s="32">
        <f t="shared" si="21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9"/>
        <v>0</v>
      </c>
      <c r="K95" s="52">
        <f t="shared" si="22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8"/>
        <v>0</v>
      </c>
    </row>
    <row r="96" spans="1:25" s="77" customFormat="1" ht="22.5" customHeight="1">
      <c r="A96" s="1"/>
      <c r="B96" s="29"/>
      <c r="C96" s="56" t="s">
        <v>95</v>
      </c>
      <c r="D96" s="32">
        <f t="shared" si="21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9"/>
        <v>16.357836</v>
      </c>
      <c r="K96" s="52">
        <f t="shared" si="22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8"/>
        <v>0</v>
      </c>
    </row>
    <row r="97" spans="1:25" s="77" customFormat="1" ht="22.5" customHeight="1">
      <c r="A97" s="1"/>
      <c r="B97" s="29"/>
      <c r="C97" s="55" t="s">
        <v>96</v>
      </c>
      <c r="D97" s="32">
        <f t="shared" si="21"/>
        <v>2050000</v>
      </c>
      <c r="E97" s="6"/>
      <c r="F97" s="25">
        <f t="shared" si="17"/>
        <v>2050000</v>
      </c>
      <c r="G97" s="32">
        <f>50000+2000000</f>
        <v>2050000</v>
      </c>
      <c r="H97" s="25"/>
      <c r="I97" s="46"/>
      <c r="J97" s="67">
        <f t="shared" si="19"/>
        <v>0</v>
      </c>
      <c r="K97" s="52">
        <f t="shared" si="22"/>
        <v>100000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59">
        <v>1081074.46</v>
      </c>
      <c r="W97" s="59">
        <v>918925.54</v>
      </c>
      <c r="X97" s="59">
        <f t="shared" si="20"/>
        <v>2050000</v>
      </c>
      <c r="Y97" s="69">
        <f t="shared" si="18"/>
        <v>0</v>
      </c>
    </row>
    <row r="98" spans="1:25" ht="18.75">
      <c r="A98" s="33"/>
      <c r="B98" s="18"/>
      <c r="C98" s="34" t="s">
        <v>9</v>
      </c>
      <c r="D98" s="20">
        <f>D8+D47</f>
        <v>270396458.07</v>
      </c>
      <c r="E98" s="20">
        <f>E8+E47</f>
        <v>41074047.07</v>
      </c>
      <c r="F98" s="20">
        <f>F8+F47</f>
        <v>229322411</v>
      </c>
      <c r="G98" s="20">
        <f>G8+G47</f>
        <v>229322411</v>
      </c>
      <c r="H98" s="20">
        <f>H8+H47</f>
        <v>178846624.17000002</v>
      </c>
      <c r="I98" s="44">
        <f>H98/D98*100</f>
        <v>66.1423694106601</v>
      </c>
      <c r="J98" s="44">
        <f>H98/(L98+M98+N98+O98+P98+Q98+R98+S98+T98+U98)*100</f>
        <v>73.30844741778004</v>
      </c>
      <c r="K98" s="52">
        <f t="shared" si="22"/>
        <v>104109467.89999992</v>
      </c>
      <c r="L98" s="20">
        <f aca="true" t="shared" si="23" ref="L98:X98">L8+L25+L48</f>
        <v>112816</v>
      </c>
      <c r="M98" s="20">
        <f t="shared" si="23"/>
        <v>3716000</v>
      </c>
      <c r="N98" s="20">
        <f t="shared" si="23"/>
        <v>13054000</v>
      </c>
      <c r="O98" s="20">
        <f t="shared" si="23"/>
        <v>23627301.990000002</v>
      </c>
      <c r="P98" s="20">
        <f t="shared" si="23"/>
        <v>25067943.939999998</v>
      </c>
      <c r="Q98" s="20">
        <f t="shared" si="23"/>
        <v>23413655.380000003</v>
      </c>
      <c r="R98" s="20">
        <f t="shared" si="23"/>
        <v>31674418.01</v>
      </c>
      <c r="S98" s="20">
        <f t="shared" si="23"/>
        <v>46593908.06</v>
      </c>
      <c r="T98" s="20">
        <f t="shared" si="23"/>
        <v>38991541.64</v>
      </c>
      <c r="U98" s="20">
        <f t="shared" si="23"/>
        <v>37712965.41</v>
      </c>
      <c r="V98" s="20">
        <f t="shared" si="23"/>
        <v>17592347.779999997</v>
      </c>
      <c r="W98" s="20">
        <f t="shared" si="23"/>
        <v>8839559.86</v>
      </c>
      <c r="X98" s="20">
        <f t="shared" si="23"/>
        <v>270396458.07</v>
      </c>
      <c r="Y98" s="69">
        <f t="shared" si="18"/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8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8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2016-10-10T12:42:25Z</dcterms:modified>
  <cp:category/>
  <cp:version/>
  <cp:contentType/>
  <cp:contentStatus/>
</cp:coreProperties>
</file>